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1"/>
  </bookViews>
  <sheets>
    <sheet name="Sheet1" sheetId="1" r:id="rId1"/>
    <sheet name="Sheet2" sheetId="2" r:id="rId2"/>
  </sheets>
  <definedNames>
    <definedName name="_GoBack" localSheetId="1">'Sheet2'!#REF!</definedName>
    <definedName name="_Hlk339196045" localSheetId="0">'Sheet1'!#REF!</definedName>
  </definedNames>
  <calcPr fullCalcOnLoad="1"/>
</workbook>
</file>

<file path=xl/sharedStrings.xml><?xml version="1.0" encoding="utf-8"?>
<sst xmlns="http://schemas.openxmlformats.org/spreadsheetml/2006/main" count="115" uniqueCount="106">
  <si>
    <t>Dolasci turista</t>
  </si>
  <si>
    <t>Noćenja turista</t>
  </si>
  <si>
    <t>Strani</t>
  </si>
  <si>
    <t>Domaći</t>
  </si>
  <si>
    <t>Ukupno</t>
  </si>
  <si>
    <t>(3)=(1)+(2)</t>
  </si>
  <si>
    <t>Struktura</t>
  </si>
  <si>
    <t>(3) u %</t>
  </si>
  <si>
    <t>Budva</t>
  </si>
  <si>
    <t>Kolašin</t>
  </si>
  <si>
    <t>Bar</t>
  </si>
  <si>
    <t>Tivat</t>
  </si>
  <si>
    <t>Cetinje</t>
  </si>
  <si>
    <t>Nikšić</t>
  </si>
  <si>
    <t>Herceg Novi</t>
  </si>
  <si>
    <t>Ulcinj</t>
  </si>
  <si>
    <t>Kotor</t>
  </si>
  <si>
    <t>Berane</t>
  </si>
  <si>
    <t>Pljevlja</t>
  </si>
  <si>
    <t>Rožaje</t>
  </si>
  <si>
    <t>Danilovgrad</t>
  </si>
  <si>
    <t>Zemlja pripadnosti gostiju</t>
  </si>
  <si>
    <t>Dolasci</t>
  </si>
  <si>
    <t>Struktura, u %</t>
  </si>
  <si>
    <t>Noćenja</t>
  </si>
  <si>
    <t>Struktura , u %</t>
  </si>
  <si>
    <t>Evropa</t>
  </si>
  <si>
    <t>Albanija</t>
  </si>
  <si>
    <t>Austrija</t>
  </si>
  <si>
    <t>Belgija</t>
  </si>
  <si>
    <t>Bjelorusija</t>
  </si>
  <si>
    <t>Bosna i Hercegovina</t>
  </si>
  <si>
    <t>Bugarska</t>
  </si>
  <si>
    <t>Danska</t>
  </si>
  <si>
    <t>Estonija</t>
  </si>
  <si>
    <t>Finska</t>
  </si>
  <si>
    <t>Francuska</t>
  </si>
  <si>
    <t>Grčka</t>
  </si>
  <si>
    <t>Holandija</t>
  </si>
  <si>
    <t>Hrvatska</t>
  </si>
  <si>
    <t>Irska</t>
  </si>
  <si>
    <t>Italija</t>
  </si>
  <si>
    <t>Kosovo</t>
  </si>
  <si>
    <t>Letonija</t>
  </si>
  <si>
    <t>Litvanija</t>
  </si>
  <si>
    <t>Luksemburg</t>
  </si>
  <si>
    <t>Mađarska</t>
  </si>
  <si>
    <t>Norveška</t>
  </si>
  <si>
    <t>Njemačka</t>
  </si>
  <si>
    <t>Poljska</t>
  </si>
  <si>
    <t>Portugalija</t>
  </si>
  <si>
    <t>Rumunija</t>
  </si>
  <si>
    <t>Slovačka</t>
  </si>
  <si>
    <t>Slovenija</t>
  </si>
  <si>
    <t>Švedska</t>
  </si>
  <si>
    <t>Španija</t>
  </si>
  <si>
    <t>Turska</t>
  </si>
  <si>
    <t>Ukrajina</t>
  </si>
  <si>
    <t>Ostale evropske zemlje</t>
  </si>
  <si>
    <t>Vanevropske zemlje</t>
  </si>
  <si>
    <t>Australija</t>
  </si>
  <si>
    <t>Izrael</t>
  </si>
  <si>
    <t>Japan</t>
  </si>
  <si>
    <t>Kanada</t>
  </si>
  <si>
    <t>Novi Zeland</t>
  </si>
  <si>
    <t>SAD</t>
  </si>
  <si>
    <t>Podgorica</t>
  </si>
  <si>
    <t>Bijelo Polje</t>
  </si>
  <si>
    <t>Island</t>
  </si>
  <si>
    <t>Žabljak</t>
  </si>
  <si>
    <t>Kipar</t>
  </si>
  <si>
    <t>Malta</t>
  </si>
  <si>
    <t>Ujedinjeno Kraljevstvo</t>
  </si>
  <si>
    <t>Ostale afričke zemlje</t>
  </si>
  <si>
    <t>Ostale zemlje Sjeverne Amerike</t>
  </si>
  <si>
    <t>Argentina</t>
  </si>
  <si>
    <t>Brazil</t>
  </si>
  <si>
    <t>Čile</t>
  </si>
  <si>
    <t>Ostale zemlje Južne i Srednje Amerike</t>
  </si>
  <si>
    <t>Kina (uključujući Hong Kong)</t>
  </si>
  <si>
    <t>Indija</t>
  </si>
  <si>
    <t>Azerbejdžan</t>
  </si>
  <si>
    <t>Ostale azijske zemlje</t>
  </si>
  <si>
    <t>Ostale zemlje Okeanije</t>
  </si>
  <si>
    <t>Opština</t>
  </si>
  <si>
    <t>Plav</t>
  </si>
  <si>
    <t>Andrijevica</t>
  </si>
  <si>
    <t>Mojkovac</t>
  </si>
  <si>
    <t>Šavnik</t>
  </si>
  <si>
    <t>Petnjica</t>
  </si>
  <si>
    <t>Češka</t>
  </si>
  <si>
    <t>Republika Sjeverna Makedonija</t>
  </si>
  <si>
    <t>Srbija</t>
  </si>
  <si>
    <t>Švajcarska uključujući Lihtenštajn</t>
  </si>
  <si>
    <t>Koreja, Republika (Južna Koreja)</t>
  </si>
  <si>
    <t>(1)</t>
  </si>
  <si>
    <t>(2)</t>
  </si>
  <si>
    <r>
      <t>[1]</t>
    </r>
    <r>
      <rPr>
        <i/>
        <sz val="9"/>
        <color indexed="8"/>
        <rFont val="Arial"/>
        <family val="2"/>
      </rPr>
      <t xml:space="preserve"> Primarni izvor podataka za obračun dolazaka i noćenja turista u individualnom smještaju, odnosno tzv. „privatnom smještaju“ su podaci Lokalnih turističkih organizacija shodno Zakonu o turističkim organizacijama  Službeni list Crne Gore", br. 073/10 od 10.12.2010, 040/11 od 08.08.2011, 045/14 od 24.10.2014, 042/17 od 30.06.2017, 027/19 od 17.05.2019). Neregistrovani turisti nijesu predmet istraživanja.</t>
    </r>
  </si>
  <si>
    <t>Gusinje</t>
  </si>
  <si>
    <t>Inostranstvo</t>
  </si>
  <si>
    <t>Rusija</t>
  </si>
  <si>
    <t>Južna Afrika</t>
  </si>
  <si>
    <t>Ujedinjeni Arapski Emirati</t>
  </si>
  <si>
    <t>Plužine</t>
  </si>
  <si>
    <r>
      <t>Tabela 1. Dolasci i noćenja turista u individualnom smještaju po opštinama, 2021. godina</t>
    </r>
    <r>
      <rPr>
        <b/>
        <sz val="10"/>
        <color indexed="8"/>
        <rFont val="Calibri"/>
        <family val="2"/>
      </rPr>
      <t>¹</t>
    </r>
  </si>
  <si>
    <t>Tabela 2. Dolasci i noćenja stranih turista u individualnom smještaju po zemlji pripadnosti, 2021. godina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</si>
</sst>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0.000000"/>
    <numFmt numFmtId="180" formatCode="0.0000000"/>
    <numFmt numFmtId="181" formatCode="0.00000"/>
    <numFmt numFmtId="182" formatCode="0.0000"/>
    <numFmt numFmtId="183" formatCode="0.000"/>
    <numFmt numFmtId="184" formatCode="#,##0.0"/>
    <numFmt numFmtId="185" formatCode="#,##0.000"/>
    <numFmt numFmtId="186" formatCode="0.00000000"/>
    <numFmt numFmtId="187" formatCode="[$-409]dddd\,\ mmmm\ d\,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i/>
      <vertAlign val="superscript"/>
      <sz val="9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i/>
      <sz val="8"/>
      <color theme="1"/>
      <name val="Arial"/>
      <family val="2"/>
    </font>
    <font>
      <i/>
      <vertAlign val="superscript"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0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15" borderId="0" applyNumberFormat="0" applyBorder="0" applyAlignment="0" applyProtection="0"/>
    <xf numFmtId="0" fontId="31" fillId="16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1" borderId="0" applyNumberFormat="0" applyBorder="0" applyAlignment="0" applyProtection="0"/>
    <xf numFmtId="0" fontId="7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51" fillId="0" borderId="0" xfId="0" applyFont="1" applyFill="1" applyBorder="1" applyAlignment="1">
      <alignment horizontal="left" vertical="center" indent="1"/>
    </xf>
    <xf numFmtId="184" fontId="0" fillId="0" borderId="0" xfId="0" applyNumberFormat="1" applyAlignment="1">
      <alignment/>
    </xf>
    <xf numFmtId="4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/>
    </xf>
    <xf numFmtId="184" fontId="52" fillId="0" borderId="0" xfId="0" applyNumberFormat="1" applyFont="1" applyAlignment="1">
      <alignment/>
    </xf>
    <xf numFmtId="0" fontId="53" fillId="0" borderId="0" xfId="0" applyFont="1" applyBorder="1" applyAlignment="1">
      <alignment horizontal="left" indent="1"/>
    </xf>
    <xf numFmtId="0" fontId="54" fillId="0" borderId="0" xfId="0" applyFont="1" applyBorder="1" applyAlignment="1">
      <alignment/>
    </xf>
    <xf numFmtId="0" fontId="54" fillId="0" borderId="10" xfId="0" applyFont="1" applyBorder="1" applyAlignment="1" quotePrefix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/>
    </xf>
    <xf numFmtId="0" fontId="54" fillId="33" borderId="13" xfId="0" applyFont="1" applyFill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/>
    </xf>
    <xf numFmtId="0" fontId="54" fillId="0" borderId="15" xfId="0" applyFont="1" applyBorder="1" applyAlignment="1" quotePrefix="1">
      <alignment horizontal="center" vertical="center"/>
    </xf>
    <xf numFmtId="3" fontId="52" fillId="0" borderId="16" xfId="0" applyNumberFormat="1" applyFont="1" applyBorder="1" applyAlignment="1">
      <alignment horizontal="left" vertical="center"/>
    </xf>
    <xf numFmtId="3" fontId="2" fillId="0" borderId="17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0" fontId="49" fillId="0" borderId="0" xfId="0" applyFont="1" applyAlignment="1">
      <alignment/>
    </xf>
    <xf numFmtId="3" fontId="2" fillId="0" borderId="14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left" vertical="center"/>
    </xf>
    <xf numFmtId="0" fontId="0" fillId="0" borderId="19" xfId="0" applyBorder="1" applyAlignment="1">
      <alignment horizontal="left"/>
    </xf>
    <xf numFmtId="3" fontId="52" fillId="0" borderId="20" xfId="0" applyNumberFormat="1" applyFont="1" applyBorder="1" applyAlignment="1">
      <alignment horizontal="left" vertical="center"/>
    </xf>
    <xf numFmtId="184" fontId="2" fillId="0" borderId="13" xfId="0" applyNumberFormat="1" applyFont="1" applyBorder="1" applyAlignment="1">
      <alignment horizontal="right" vertical="center"/>
    </xf>
    <xf numFmtId="0" fontId="2" fillId="0" borderId="21" xfId="0" applyFont="1" applyFill="1" applyBorder="1" applyAlignment="1">
      <alignment/>
    </xf>
    <xf numFmtId="0" fontId="54" fillId="0" borderId="22" xfId="0" applyFont="1" applyBorder="1" applyAlignment="1">
      <alignment horizontal="center" vertical="center"/>
    </xf>
    <xf numFmtId="0" fontId="54" fillId="33" borderId="22" xfId="0" applyFont="1" applyFill="1" applyBorder="1" applyAlignment="1">
      <alignment horizontal="center" vertical="center" wrapText="1"/>
    </xf>
    <xf numFmtId="3" fontId="54" fillId="0" borderId="0" xfId="0" applyNumberFormat="1" applyFont="1" applyBorder="1" applyAlignment="1">
      <alignment/>
    </xf>
    <xf numFmtId="3" fontId="54" fillId="33" borderId="23" xfId="0" applyNumberFormat="1" applyFont="1" applyFill="1" applyBorder="1" applyAlignment="1">
      <alignment horizontal="center" vertical="center" wrapText="1"/>
    </xf>
    <xf numFmtId="3" fontId="54" fillId="0" borderId="24" xfId="0" applyNumberFormat="1" applyFont="1" applyBorder="1" applyAlignment="1">
      <alignment horizontal="center" vertical="center"/>
    </xf>
    <xf numFmtId="0" fontId="55" fillId="0" borderId="0" xfId="0" applyFont="1" applyFill="1" applyBorder="1" applyAlignment="1">
      <alignment horizontal="left" vertical="center" indent="1"/>
    </xf>
    <xf numFmtId="178" fontId="54" fillId="0" borderId="25" xfId="0" applyNumberFormat="1" applyFont="1" applyBorder="1" applyAlignment="1">
      <alignment/>
    </xf>
    <xf numFmtId="178" fontId="54" fillId="0" borderId="26" xfId="0" applyNumberFormat="1" applyFont="1" applyBorder="1" applyAlignment="1">
      <alignment/>
    </xf>
    <xf numFmtId="0" fontId="3" fillId="0" borderId="18" xfId="66" applyFont="1" applyBorder="1">
      <alignment/>
      <protection/>
    </xf>
    <xf numFmtId="0" fontId="3" fillId="0" borderId="20" xfId="66" applyFont="1" applyBorder="1">
      <alignment/>
      <protection/>
    </xf>
    <xf numFmtId="0" fontId="5" fillId="0" borderId="20" xfId="66" applyFont="1" applyBorder="1">
      <alignment/>
      <protection/>
    </xf>
    <xf numFmtId="0" fontId="5" fillId="0" borderId="16" xfId="66" applyFont="1" applyBorder="1">
      <alignment/>
      <protection/>
    </xf>
    <xf numFmtId="3" fontId="52" fillId="0" borderId="27" xfId="0" applyNumberFormat="1" applyFont="1" applyFill="1" applyBorder="1" applyAlignment="1">
      <alignment horizontal="right" vertical="center"/>
    </xf>
    <xf numFmtId="3" fontId="52" fillId="0" borderId="28" xfId="0" applyNumberFormat="1" applyFont="1" applyFill="1" applyBorder="1" applyAlignment="1">
      <alignment horizontal="right" vertical="center"/>
    </xf>
    <xf numFmtId="3" fontId="52" fillId="0" borderId="29" xfId="0" applyNumberFormat="1" applyFont="1" applyFill="1" applyBorder="1" applyAlignment="1">
      <alignment horizontal="right" vertical="center"/>
    </xf>
    <xf numFmtId="3" fontId="52" fillId="0" borderId="30" xfId="0" applyNumberFormat="1" applyFont="1" applyFill="1" applyBorder="1" applyAlignment="1">
      <alignment horizontal="right" vertical="center"/>
    </xf>
    <xf numFmtId="3" fontId="52" fillId="0" borderId="10" xfId="0" applyNumberFormat="1" applyFont="1" applyFill="1" applyBorder="1" applyAlignment="1">
      <alignment horizontal="right" vertical="center"/>
    </xf>
    <xf numFmtId="184" fontId="52" fillId="0" borderId="25" xfId="0" applyNumberFormat="1" applyFont="1" applyFill="1" applyBorder="1" applyAlignment="1">
      <alignment horizontal="right" vertical="center"/>
    </xf>
    <xf numFmtId="184" fontId="52" fillId="0" borderId="11" xfId="0" applyNumberFormat="1" applyFont="1" applyFill="1" applyBorder="1" applyAlignment="1">
      <alignment horizontal="right" vertical="center"/>
    </xf>
    <xf numFmtId="3" fontId="52" fillId="0" borderId="15" xfId="0" applyNumberFormat="1" applyFont="1" applyFill="1" applyBorder="1" applyAlignment="1">
      <alignment horizontal="right" vertical="center"/>
    </xf>
    <xf numFmtId="184" fontId="52" fillId="0" borderId="30" xfId="0" applyNumberFormat="1" applyFont="1" applyFill="1" applyBorder="1" applyAlignment="1">
      <alignment horizontal="right" vertical="center"/>
    </xf>
    <xf numFmtId="3" fontId="3" fillId="0" borderId="31" xfId="66" applyNumberFormat="1" applyFont="1" applyFill="1" applyBorder="1">
      <alignment/>
      <protection/>
    </xf>
    <xf numFmtId="3" fontId="3" fillId="0" borderId="27" xfId="66" applyNumberFormat="1" applyFont="1" applyFill="1" applyBorder="1">
      <alignment/>
      <protection/>
    </xf>
    <xf numFmtId="3" fontId="5" fillId="0" borderId="27" xfId="66" applyNumberFormat="1" applyFont="1" applyFill="1" applyBorder="1">
      <alignment/>
      <protection/>
    </xf>
    <xf numFmtId="3" fontId="5" fillId="0" borderId="28" xfId="66" applyNumberFormat="1" applyFont="1" applyFill="1" applyBorder="1">
      <alignment/>
      <protection/>
    </xf>
    <xf numFmtId="178" fontId="54" fillId="0" borderId="26" xfId="0" applyNumberFormat="1" applyFont="1" applyFill="1" applyBorder="1" applyAlignment="1">
      <alignment/>
    </xf>
    <xf numFmtId="178" fontId="54" fillId="0" borderId="25" xfId="0" applyNumberFormat="1" applyFont="1" applyFill="1" applyBorder="1" applyAlignment="1">
      <alignment/>
    </xf>
    <xf numFmtId="178" fontId="52" fillId="0" borderId="25" xfId="0" applyNumberFormat="1" applyFont="1" applyFill="1" applyBorder="1" applyAlignment="1">
      <alignment/>
    </xf>
    <xf numFmtId="178" fontId="52" fillId="0" borderId="11" xfId="0" applyNumberFormat="1" applyFont="1" applyFill="1" applyBorder="1" applyAlignment="1">
      <alignment/>
    </xf>
    <xf numFmtId="3" fontId="3" fillId="0" borderId="32" xfId="66" applyNumberFormat="1" applyFont="1" applyFill="1" applyBorder="1">
      <alignment/>
      <protection/>
    </xf>
    <xf numFmtId="3" fontId="3" fillId="0" borderId="30" xfId="66" applyNumberFormat="1" applyFont="1" applyFill="1" applyBorder="1">
      <alignment/>
      <protection/>
    </xf>
    <xf numFmtId="3" fontId="5" fillId="0" borderId="30" xfId="66" applyNumberFormat="1" applyFont="1" applyFill="1" applyBorder="1">
      <alignment/>
      <protection/>
    </xf>
    <xf numFmtId="3" fontId="5" fillId="0" borderId="15" xfId="66" applyNumberFormat="1" applyFont="1" applyFill="1" applyBorder="1">
      <alignment/>
      <protection/>
    </xf>
    <xf numFmtId="0" fontId="54" fillId="0" borderId="33" xfId="0" applyFont="1" applyBorder="1" applyAlignment="1">
      <alignment horizontal="center" vertical="center" wrapText="1"/>
    </xf>
    <xf numFmtId="0" fontId="54" fillId="0" borderId="34" xfId="0" applyFont="1" applyBorder="1" applyAlignment="1">
      <alignment horizontal="center" vertical="center" wrapText="1"/>
    </xf>
    <xf numFmtId="0" fontId="54" fillId="0" borderId="35" xfId="0" applyFont="1" applyBorder="1" applyAlignment="1">
      <alignment horizontal="center" vertical="center" wrapText="1"/>
    </xf>
    <xf numFmtId="0" fontId="54" fillId="0" borderId="33" xfId="0" applyFont="1" applyBorder="1" applyAlignment="1">
      <alignment horizontal="center" vertical="center"/>
    </xf>
    <xf numFmtId="0" fontId="54" fillId="0" borderId="34" xfId="0" applyFont="1" applyBorder="1" applyAlignment="1">
      <alignment horizontal="center" vertical="center"/>
    </xf>
    <xf numFmtId="0" fontId="54" fillId="0" borderId="35" xfId="0" applyFont="1" applyBorder="1" applyAlignment="1">
      <alignment horizontal="center" vertical="center"/>
    </xf>
    <xf numFmtId="0" fontId="54" fillId="0" borderId="36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4" fillId="0" borderId="37" xfId="0" applyFont="1" applyBorder="1" applyAlignment="1">
      <alignment horizontal="center" vertical="center"/>
    </xf>
    <xf numFmtId="0" fontId="56" fillId="0" borderId="0" xfId="0" applyFont="1" applyAlignment="1">
      <alignment horizontal="left" vertical="center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eutral 2" xfId="63"/>
    <cellStyle name="Normal 2" xfId="64"/>
    <cellStyle name="Normal 3" xfId="65"/>
    <cellStyle name="Normal 4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zoomScale="95" zoomScaleNormal="95" zoomScalePageLayoutView="0" workbookViewId="0" topLeftCell="A1">
      <selection activeCell="N27" sqref="N27"/>
    </sheetView>
  </sheetViews>
  <sheetFormatPr defaultColWidth="9.140625" defaultRowHeight="15"/>
  <cols>
    <col min="1" max="1" width="18.00390625" style="0" customWidth="1"/>
    <col min="2" max="3" width="10.7109375" style="0" customWidth="1"/>
    <col min="4" max="4" width="13.421875" style="0" customWidth="1"/>
    <col min="5" max="5" width="10.7109375" style="0" customWidth="1"/>
    <col min="6" max="6" width="13.8515625" style="0" customWidth="1"/>
    <col min="7" max="7" width="12.421875" style="0" customWidth="1"/>
    <col min="8" max="8" width="13.28125" style="0" customWidth="1"/>
    <col min="9" max="9" width="10.7109375" style="0" customWidth="1"/>
  </cols>
  <sheetData>
    <row r="1" spans="1:8" ht="15">
      <c r="A1" s="9" t="s">
        <v>104</v>
      </c>
      <c r="B1" s="10"/>
      <c r="C1" s="10"/>
      <c r="D1" s="10"/>
      <c r="E1" s="10"/>
      <c r="F1" s="10"/>
      <c r="G1" s="10"/>
      <c r="H1" s="10"/>
    </row>
    <row r="2" spans="1:9" ht="15.75" thickBot="1">
      <c r="A2" s="9"/>
      <c r="B2" s="10"/>
      <c r="C2" s="10"/>
      <c r="D2" s="10"/>
      <c r="E2" s="10"/>
      <c r="F2" s="10"/>
      <c r="G2" s="10"/>
      <c r="H2" s="10"/>
      <c r="I2" s="10"/>
    </row>
    <row r="3" spans="1:9" ht="15.75" customHeight="1" thickBot="1">
      <c r="A3" s="67" t="s">
        <v>84</v>
      </c>
      <c r="B3" s="61" t="s">
        <v>0</v>
      </c>
      <c r="C3" s="62"/>
      <c r="D3" s="62"/>
      <c r="E3" s="63"/>
      <c r="F3" s="64" t="s">
        <v>1</v>
      </c>
      <c r="G3" s="65"/>
      <c r="H3" s="65"/>
      <c r="I3" s="66"/>
    </row>
    <row r="4" spans="1:9" ht="15">
      <c r="A4" s="68"/>
      <c r="B4" s="16" t="s">
        <v>2</v>
      </c>
      <c r="C4" s="14" t="s">
        <v>3</v>
      </c>
      <c r="D4" s="14" t="s">
        <v>4</v>
      </c>
      <c r="E4" s="15" t="s">
        <v>6</v>
      </c>
      <c r="F4" s="16" t="s">
        <v>2</v>
      </c>
      <c r="G4" s="14" t="s">
        <v>3</v>
      </c>
      <c r="H4" s="14" t="s">
        <v>4</v>
      </c>
      <c r="I4" s="15" t="s">
        <v>6</v>
      </c>
    </row>
    <row r="5" spans="1:18" ht="15.75" thickBot="1">
      <c r="A5" s="69"/>
      <c r="B5" s="17" t="s">
        <v>95</v>
      </c>
      <c r="C5" s="11" t="s">
        <v>96</v>
      </c>
      <c r="D5" s="12" t="s">
        <v>5</v>
      </c>
      <c r="E5" s="13" t="s">
        <v>7</v>
      </c>
      <c r="F5" s="17" t="s">
        <v>95</v>
      </c>
      <c r="G5" s="11" t="s">
        <v>96</v>
      </c>
      <c r="H5" s="12" t="s">
        <v>5</v>
      </c>
      <c r="I5" s="13" t="s">
        <v>7</v>
      </c>
      <c r="K5" s="9"/>
      <c r="L5" s="10"/>
      <c r="M5" s="10"/>
      <c r="N5" s="10"/>
      <c r="O5" s="10"/>
      <c r="P5" s="10"/>
      <c r="Q5" s="10"/>
      <c r="R5" s="10"/>
    </row>
    <row r="6" spans="1:18" ht="15">
      <c r="A6" s="23" t="s">
        <v>4</v>
      </c>
      <c r="B6" s="19">
        <v>923750</v>
      </c>
      <c r="C6" s="20">
        <v>16706</v>
      </c>
      <c r="D6" s="20">
        <v>940456</v>
      </c>
      <c r="E6" s="26">
        <v>100</v>
      </c>
      <c r="F6" s="22">
        <v>6851093</v>
      </c>
      <c r="G6" s="20">
        <v>72640</v>
      </c>
      <c r="H6" s="20">
        <v>6923733</v>
      </c>
      <c r="I6" s="26">
        <f>H6/H6*100</f>
        <v>100</v>
      </c>
      <c r="L6" s="1"/>
      <c r="M6" s="1"/>
      <c r="N6" s="1"/>
      <c r="P6" s="1"/>
      <c r="Q6" s="1"/>
      <c r="R6" s="1"/>
    </row>
    <row r="7" spans="1:18" ht="15">
      <c r="A7" s="25" t="s">
        <v>86</v>
      </c>
      <c r="B7" s="40">
        <v>114</v>
      </c>
      <c r="C7" s="42">
        <v>0</v>
      </c>
      <c r="D7" s="42">
        <v>114</v>
      </c>
      <c r="E7" s="45">
        <f>D7/D6*100</f>
        <v>0.012121779221994436</v>
      </c>
      <c r="F7" s="43">
        <v>1622</v>
      </c>
      <c r="G7" s="42">
        <v>0</v>
      </c>
      <c r="H7" s="42">
        <v>1622</v>
      </c>
      <c r="I7" s="45">
        <f>H7/$H$6*100</f>
        <v>0.023426668821573564</v>
      </c>
      <c r="L7" s="3"/>
      <c r="M7" s="5"/>
      <c r="N7" s="1"/>
      <c r="P7" s="1"/>
      <c r="Q7" s="1"/>
      <c r="R7" s="1"/>
    </row>
    <row r="8" spans="1:18" ht="15">
      <c r="A8" s="25" t="s">
        <v>10</v>
      </c>
      <c r="B8" s="40">
        <v>106624</v>
      </c>
      <c r="C8" s="42">
        <v>1421</v>
      </c>
      <c r="D8" s="42">
        <v>108045</v>
      </c>
      <c r="E8" s="45">
        <f>D8/D6*100</f>
        <v>11.488575754740253</v>
      </c>
      <c r="F8" s="43">
        <v>1132858</v>
      </c>
      <c r="G8" s="42">
        <v>8073</v>
      </c>
      <c r="H8" s="42">
        <v>1140931</v>
      </c>
      <c r="I8" s="45">
        <f aca="true" t="shared" si="0" ref="I8:I26">H8/$H$6*100</f>
        <v>16.478552826921547</v>
      </c>
      <c r="L8" s="3"/>
      <c r="M8" s="5"/>
      <c r="N8" s="1"/>
      <c r="P8" s="1"/>
      <c r="Q8" s="1"/>
      <c r="R8" s="1"/>
    </row>
    <row r="9" spans="1:18" ht="15">
      <c r="A9" s="25" t="s">
        <v>17</v>
      </c>
      <c r="B9" s="40">
        <v>168</v>
      </c>
      <c r="C9" s="42">
        <v>105</v>
      </c>
      <c r="D9" s="42">
        <v>273</v>
      </c>
      <c r="E9" s="45">
        <f>D9/D6*100</f>
        <v>0.02902847129477615</v>
      </c>
      <c r="F9" s="43">
        <v>168</v>
      </c>
      <c r="G9" s="42">
        <v>105</v>
      </c>
      <c r="H9" s="42">
        <v>273</v>
      </c>
      <c r="I9" s="45">
        <f t="shared" si="0"/>
        <v>0.003942959672188399</v>
      </c>
      <c r="L9" s="3"/>
      <c r="M9" s="5"/>
      <c r="N9" s="1"/>
      <c r="P9" s="1"/>
      <c r="Q9" s="1"/>
      <c r="R9" s="1"/>
    </row>
    <row r="10" spans="1:18" ht="15">
      <c r="A10" s="25" t="s">
        <v>67</v>
      </c>
      <c r="B10" s="40">
        <v>786</v>
      </c>
      <c r="C10" s="42">
        <v>0</v>
      </c>
      <c r="D10" s="42">
        <v>786</v>
      </c>
      <c r="E10" s="45">
        <f>786/D6*100</f>
        <v>0.08357647779375112</v>
      </c>
      <c r="F10" s="43">
        <v>8975</v>
      </c>
      <c r="G10" s="42">
        <v>0</v>
      </c>
      <c r="H10" s="42">
        <v>8975</v>
      </c>
      <c r="I10" s="45">
        <f t="shared" si="0"/>
        <v>0.1296266046076589</v>
      </c>
      <c r="L10" s="3"/>
      <c r="M10" s="5"/>
      <c r="N10" s="1"/>
      <c r="P10" s="1"/>
      <c r="Q10" s="1"/>
      <c r="R10" s="1"/>
    </row>
    <row r="11" spans="1:18" ht="15">
      <c r="A11" s="25" t="s">
        <v>8</v>
      </c>
      <c r="B11" s="40">
        <v>250045</v>
      </c>
      <c r="C11" s="42">
        <v>1431</v>
      </c>
      <c r="D11" s="42">
        <v>251476</v>
      </c>
      <c r="E11" s="45">
        <f>D11/D6*100</f>
        <v>26.739794312546255</v>
      </c>
      <c r="F11" s="43">
        <v>1387245</v>
      </c>
      <c r="G11" s="42">
        <v>5535</v>
      </c>
      <c r="H11" s="42">
        <v>1392780</v>
      </c>
      <c r="I11" s="45">
        <f t="shared" si="0"/>
        <v>20.11602700450754</v>
      </c>
      <c r="L11" s="3"/>
      <c r="M11" s="5"/>
      <c r="N11" s="1"/>
      <c r="P11" s="1"/>
      <c r="Q11" s="1"/>
      <c r="R11" s="1"/>
    </row>
    <row r="12" spans="1:18" ht="15">
      <c r="A12" s="25" t="s">
        <v>12</v>
      </c>
      <c r="B12" s="40">
        <v>950</v>
      </c>
      <c r="C12" s="42">
        <v>0</v>
      </c>
      <c r="D12" s="42">
        <v>950</v>
      </c>
      <c r="E12" s="45">
        <f>D12/D6*100</f>
        <v>0.10101482684995364</v>
      </c>
      <c r="F12" s="43">
        <v>15308</v>
      </c>
      <c r="G12" s="42">
        <v>0</v>
      </c>
      <c r="H12" s="42">
        <v>15308</v>
      </c>
      <c r="I12" s="45">
        <f t="shared" si="0"/>
        <v>0.22109460315699636</v>
      </c>
      <c r="L12" s="3"/>
      <c r="M12" s="5"/>
      <c r="N12" s="1"/>
      <c r="P12" s="1"/>
      <c r="Q12" s="1"/>
      <c r="R12" s="1"/>
    </row>
    <row r="13" spans="1:18" ht="15">
      <c r="A13" s="25" t="s">
        <v>20</v>
      </c>
      <c r="B13" s="40">
        <v>1075</v>
      </c>
      <c r="C13" s="42">
        <v>21</v>
      </c>
      <c r="D13" s="42">
        <v>1096</v>
      </c>
      <c r="E13" s="45">
        <f>D13/D6*100</f>
        <v>0.11653921076584124</v>
      </c>
      <c r="F13" s="43">
        <v>22202</v>
      </c>
      <c r="G13" s="42">
        <v>462</v>
      </c>
      <c r="H13" s="42">
        <v>22664</v>
      </c>
      <c r="I13" s="45">
        <f t="shared" si="0"/>
        <v>0.3273378681702486</v>
      </c>
      <c r="L13" s="3"/>
      <c r="M13" s="5"/>
      <c r="N13" s="1"/>
      <c r="P13" s="1"/>
      <c r="Q13" s="1"/>
      <c r="R13" s="1"/>
    </row>
    <row r="14" spans="1:18" ht="15">
      <c r="A14" s="25" t="s">
        <v>98</v>
      </c>
      <c r="B14" s="40">
        <v>499</v>
      </c>
      <c r="C14" s="42">
        <v>15</v>
      </c>
      <c r="D14" s="42">
        <v>514</v>
      </c>
      <c r="E14" s="45">
        <f>D14/D6*100</f>
        <v>0.05465433789565913</v>
      </c>
      <c r="F14" s="43">
        <v>2141</v>
      </c>
      <c r="G14" s="42">
        <v>55</v>
      </c>
      <c r="H14" s="42">
        <v>2196</v>
      </c>
      <c r="I14" s="45">
        <f t="shared" si="0"/>
        <v>0.03171699428617482</v>
      </c>
      <c r="L14" s="3"/>
      <c r="M14" s="5"/>
      <c r="N14" s="1"/>
      <c r="P14" s="1"/>
      <c r="Q14" s="1"/>
      <c r="R14" s="1"/>
    </row>
    <row r="15" spans="1:18" ht="15">
      <c r="A15" s="25" t="s">
        <v>14</v>
      </c>
      <c r="B15" s="40">
        <v>173898</v>
      </c>
      <c r="C15" s="42">
        <v>1479</v>
      </c>
      <c r="D15" s="42">
        <v>175377</v>
      </c>
      <c r="E15" s="45">
        <f>D15/D6*100</f>
        <v>18.648081356278233</v>
      </c>
      <c r="F15" s="43">
        <v>1710132</v>
      </c>
      <c r="G15" s="42">
        <v>8838</v>
      </c>
      <c r="H15" s="42">
        <v>1718970</v>
      </c>
      <c r="I15" s="45">
        <f t="shared" si="0"/>
        <v>24.82721387436517</v>
      </c>
      <c r="L15" s="3"/>
      <c r="M15" s="5"/>
      <c r="N15" s="1"/>
      <c r="P15" s="1"/>
      <c r="Q15" s="1"/>
      <c r="R15" s="1"/>
    </row>
    <row r="16" spans="1:18" ht="15">
      <c r="A16" s="25" t="s">
        <v>9</v>
      </c>
      <c r="B16" s="40">
        <v>1968</v>
      </c>
      <c r="C16" s="42">
        <v>1782</v>
      </c>
      <c r="D16" s="42">
        <v>3750</v>
      </c>
      <c r="E16" s="45">
        <f>D16/D6*100</f>
        <v>0.39874273756560646</v>
      </c>
      <c r="F16" s="43">
        <v>4808</v>
      </c>
      <c r="G16" s="42">
        <v>4776</v>
      </c>
      <c r="H16" s="42">
        <v>9584</v>
      </c>
      <c r="I16" s="45">
        <f t="shared" si="0"/>
        <v>0.13842243772254073</v>
      </c>
      <c r="L16" s="3"/>
      <c r="M16" s="5"/>
      <c r="N16" s="1"/>
      <c r="O16" s="6"/>
      <c r="P16" s="1"/>
      <c r="Q16" s="1"/>
      <c r="R16" s="1"/>
    </row>
    <row r="17" spans="1:18" ht="15">
      <c r="A17" s="25" t="s">
        <v>16</v>
      </c>
      <c r="B17" s="40">
        <v>91795</v>
      </c>
      <c r="C17" s="42">
        <v>1405</v>
      </c>
      <c r="D17" s="42">
        <v>93200</v>
      </c>
      <c r="E17" s="45">
        <f>D17/D6*100</f>
        <v>9.910086170963874</v>
      </c>
      <c r="F17" s="43">
        <v>566817</v>
      </c>
      <c r="G17" s="42">
        <v>4696</v>
      </c>
      <c r="H17" s="42">
        <v>571513</v>
      </c>
      <c r="I17" s="45">
        <f t="shared" si="0"/>
        <v>8.254405535279885</v>
      </c>
      <c r="L17" s="3"/>
      <c r="M17" s="5"/>
      <c r="N17" s="1"/>
      <c r="P17" s="1"/>
      <c r="Q17" s="1"/>
      <c r="R17" s="1"/>
    </row>
    <row r="18" spans="1:18" ht="15">
      <c r="A18" s="25" t="s">
        <v>87</v>
      </c>
      <c r="B18" s="40">
        <v>958</v>
      </c>
      <c r="C18" s="42">
        <v>0</v>
      </c>
      <c r="D18" s="42">
        <v>958</v>
      </c>
      <c r="E18" s="45">
        <f>958/D6*100</f>
        <v>0.10186547802342692</v>
      </c>
      <c r="F18" s="43">
        <v>2284</v>
      </c>
      <c r="G18" s="42">
        <v>0</v>
      </c>
      <c r="H18" s="42">
        <v>2284</v>
      </c>
      <c r="I18" s="45">
        <f t="shared" si="0"/>
        <v>0.03298798494973738</v>
      </c>
      <c r="L18" s="3"/>
      <c r="M18" s="5"/>
      <c r="N18" s="1"/>
      <c r="P18" s="1"/>
      <c r="Q18" s="1"/>
      <c r="R18" s="1"/>
    </row>
    <row r="19" spans="1:18" ht="15">
      <c r="A19" s="25" t="s">
        <v>13</v>
      </c>
      <c r="B19" s="40">
        <v>1536</v>
      </c>
      <c r="C19" s="42">
        <v>256</v>
      </c>
      <c r="D19" s="42">
        <v>1792</v>
      </c>
      <c r="E19" s="45">
        <f>D19/D6*100</f>
        <v>0.19054586285801783</v>
      </c>
      <c r="F19" s="43">
        <v>4242</v>
      </c>
      <c r="G19" s="42">
        <v>703</v>
      </c>
      <c r="H19" s="42">
        <v>4945</v>
      </c>
      <c r="I19" s="45">
        <f t="shared" si="0"/>
        <v>0.07142100944678254</v>
      </c>
      <c r="L19" s="3"/>
      <c r="M19" s="5"/>
      <c r="N19" s="1"/>
      <c r="P19" s="1"/>
      <c r="Q19" s="1"/>
      <c r="R19" s="1"/>
    </row>
    <row r="20" spans="1:18" ht="15">
      <c r="A20" s="25" t="s">
        <v>89</v>
      </c>
      <c r="B20" s="40">
        <v>66</v>
      </c>
      <c r="C20" s="42">
        <v>0</v>
      </c>
      <c r="D20" s="42">
        <v>66</v>
      </c>
      <c r="E20" s="45">
        <f>66/D6*100</f>
        <v>0.007017872181154673</v>
      </c>
      <c r="F20" s="43">
        <v>80</v>
      </c>
      <c r="G20" s="42">
        <v>0</v>
      </c>
      <c r="H20" s="42">
        <v>80</v>
      </c>
      <c r="I20" s="45">
        <f t="shared" si="0"/>
        <v>0.0011554460577841463</v>
      </c>
      <c r="L20" s="3"/>
      <c r="M20" s="5"/>
      <c r="N20" s="1"/>
      <c r="P20" s="1"/>
      <c r="R20" s="1"/>
    </row>
    <row r="21" spans="1:18" ht="15">
      <c r="A21" s="25" t="s">
        <v>85</v>
      </c>
      <c r="B21" s="40">
        <v>595</v>
      </c>
      <c r="C21" s="42">
        <v>11</v>
      </c>
      <c r="D21" s="42">
        <v>606</v>
      </c>
      <c r="E21" s="45">
        <f>D21/D6*100</f>
        <v>0.06443682639060201</v>
      </c>
      <c r="F21" s="43">
        <v>8909</v>
      </c>
      <c r="G21" s="42">
        <v>97</v>
      </c>
      <c r="H21" s="42">
        <v>9006</v>
      </c>
      <c r="I21" s="45">
        <f t="shared" si="0"/>
        <v>0.13007433995505024</v>
      </c>
      <c r="L21" s="3"/>
      <c r="M21" s="5"/>
      <c r="N21" s="1"/>
      <c r="P21" s="1"/>
      <c r="Q21" s="1"/>
      <c r="R21" s="1"/>
    </row>
    <row r="22" spans="1:18" ht="15">
      <c r="A22" s="25" t="s">
        <v>18</v>
      </c>
      <c r="B22" s="40">
        <v>1652</v>
      </c>
      <c r="C22" s="42">
        <v>1021</v>
      </c>
      <c r="D22" s="42">
        <v>2673</v>
      </c>
      <c r="E22" s="45">
        <f>D22/D6*100</f>
        <v>0.28422382333676427</v>
      </c>
      <c r="F22" s="43">
        <v>7332</v>
      </c>
      <c r="G22" s="42">
        <v>6971</v>
      </c>
      <c r="H22" s="42">
        <v>14303</v>
      </c>
      <c r="I22" s="45">
        <f t="shared" si="0"/>
        <v>0.20657931205608301</v>
      </c>
      <c r="L22" s="3"/>
      <c r="M22" s="5"/>
      <c r="N22" s="1"/>
      <c r="P22" s="1"/>
      <c r="R22" s="1"/>
    </row>
    <row r="23" spans="1:18" ht="15">
      <c r="A23" s="25" t="s">
        <v>103</v>
      </c>
      <c r="B23" s="40">
        <v>0</v>
      </c>
      <c r="C23" s="42">
        <v>62</v>
      </c>
      <c r="D23" s="42">
        <v>62</v>
      </c>
      <c r="E23" s="45">
        <f>D23/D6*100</f>
        <v>0.006592546594418027</v>
      </c>
      <c r="F23" s="43">
        <v>0</v>
      </c>
      <c r="G23" s="42">
        <v>1500</v>
      </c>
      <c r="H23" s="42">
        <v>1500</v>
      </c>
      <c r="I23" s="45">
        <f t="shared" si="0"/>
        <v>0.02166461358345274</v>
      </c>
      <c r="L23" s="3"/>
      <c r="M23" s="5"/>
      <c r="N23" s="1"/>
      <c r="P23" s="1"/>
      <c r="R23" s="1"/>
    </row>
    <row r="24" spans="1:18" ht="15">
      <c r="A24" s="25" t="s">
        <v>66</v>
      </c>
      <c r="B24" s="40">
        <v>3768</v>
      </c>
      <c r="C24" s="42">
        <v>218</v>
      </c>
      <c r="D24" s="42">
        <v>3986</v>
      </c>
      <c r="E24" s="45">
        <f>D24/D6*100</f>
        <v>0.42383694718306864</v>
      </c>
      <c r="F24" s="43">
        <v>13160</v>
      </c>
      <c r="G24" s="42">
        <v>290</v>
      </c>
      <c r="H24" s="42">
        <v>13450</v>
      </c>
      <c r="I24" s="45">
        <f t="shared" si="0"/>
        <v>0.1942593684649596</v>
      </c>
      <c r="L24" s="3"/>
      <c r="M24" s="5"/>
      <c r="N24" s="1"/>
      <c r="P24" s="1"/>
      <c r="Q24" s="1"/>
      <c r="R24" s="1"/>
    </row>
    <row r="25" spans="1:18" ht="15">
      <c r="A25" s="25" t="s">
        <v>19</v>
      </c>
      <c r="B25" s="40">
        <v>628</v>
      </c>
      <c r="C25" s="42">
        <v>17</v>
      </c>
      <c r="D25" s="42">
        <v>645</v>
      </c>
      <c r="E25" s="45">
        <f>D25/D6*100</f>
        <v>0.06858375086128432</v>
      </c>
      <c r="F25" s="43">
        <v>8084</v>
      </c>
      <c r="G25" s="42">
        <v>19</v>
      </c>
      <c r="H25" s="42">
        <v>8103</v>
      </c>
      <c r="I25" s="45">
        <f t="shared" si="0"/>
        <v>0.11703224257781171</v>
      </c>
      <c r="L25" s="3"/>
      <c r="M25" s="5"/>
      <c r="N25" s="1"/>
      <c r="P25" s="1"/>
      <c r="Q25" s="1"/>
      <c r="R25" s="1"/>
    </row>
    <row r="26" spans="1:18" ht="15">
      <c r="A26" s="25" t="s">
        <v>88</v>
      </c>
      <c r="B26" s="40">
        <v>252</v>
      </c>
      <c r="C26" s="42">
        <v>2</v>
      </c>
      <c r="D26" s="42">
        <v>254</v>
      </c>
      <c r="E26" s="45">
        <f>D26/D6*100</f>
        <v>0.027008174757777077</v>
      </c>
      <c r="F26" s="43">
        <v>2715</v>
      </c>
      <c r="G26" s="42">
        <v>47</v>
      </c>
      <c r="H26" s="42">
        <v>2762</v>
      </c>
      <c r="I26" s="45">
        <f t="shared" si="0"/>
        <v>0.03989177514499765</v>
      </c>
      <c r="L26" s="3"/>
      <c r="M26" s="5"/>
      <c r="N26" s="1"/>
      <c r="P26" s="1"/>
      <c r="Q26" s="1"/>
      <c r="R26" s="1"/>
    </row>
    <row r="27" spans="1:18" ht="15">
      <c r="A27" s="25" t="s">
        <v>11</v>
      </c>
      <c r="B27" s="40">
        <v>60548</v>
      </c>
      <c r="C27" s="42">
        <v>245</v>
      </c>
      <c r="D27" s="42">
        <v>60793</v>
      </c>
      <c r="E27" s="45">
        <f>D27/D6*100</f>
        <v>6.464204598620244</v>
      </c>
      <c r="F27" s="43">
        <v>806670</v>
      </c>
      <c r="G27" s="42">
        <v>1659</v>
      </c>
      <c r="H27" s="42">
        <v>808329</v>
      </c>
      <c r="I27" s="45">
        <f>H27/H6*100</f>
        <v>11.674756955532514</v>
      </c>
      <c r="L27" s="3"/>
      <c r="M27" s="5"/>
      <c r="N27" s="1"/>
      <c r="P27" s="1"/>
      <c r="Q27" s="1"/>
      <c r="R27" s="1"/>
    </row>
    <row r="28" spans="1:18" ht="15">
      <c r="A28" s="24" t="s">
        <v>15</v>
      </c>
      <c r="B28" s="40">
        <v>210124</v>
      </c>
      <c r="C28" s="43">
        <v>4066</v>
      </c>
      <c r="D28" s="42">
        <v>214190</v>
      </c>
      <c r="E28" s="45">
        <f>D28/D6*100</f>
        <v>22.7751218557806</v>
      </c>
      <c r="F28" s="43">
        <v>1081846</v>
      </c>
      <c r="G28" s="42">
        <v>19242</v>
      </c>
      <c r="H28" s="42">
        <v>1101088</v>
      </c>
      <c r="I28" s="48">
        <v>15.9</v>
      </c>
      <c r="L28" s="3"/>
      <c r="M28" s="5"/>
      <c r="N28" s="1"/>
      <c r="P28" s="1"/>
      <c r="Q28" s="1"/>
      <c r="R28" s="1"/>
    </row>
    <row r="29" spans="1:18" ht="15.75" thickBot="1">
      <c r="A29" s="18" t="s">
        <v>69</v>
      </c>
      <c r="B29" s="41">
        <v>15701</v>
      </c>
      <c r="C29" s="44">
        <v>3149</v>
      </c>
      <c r="D29" s="44">
        <v>18850</v>
      </c>
      <c r="E29" s="46">
        <f>D29/D6*100</f>
        <v>2.0043468274964487</v>
      </c>
      <c r="F29" s="47">
        <v>63495</v>
      </c>
      <c r="G29" s="44">
        <v>9572</v>
      </c>
      <c r="H29" s="44">
        <v>73067</v>
      </c>
      <c r="I29" s="46">
        <f>H29/H6*100</f>
        <v>1.0553122138014277</v>
      </c>
      <c r="L29" s="3"/>
      <c r="M29" s="5"/>
      <c r="N29" s="1"/>
      <c r="P29" s="1"/>
      <c r="Q29" s="1"/>
      <c r="R29" s="1"/>
    </row>
    <row r="31" spans="1:9" ht="77.25" customHeight="1">
      <c r="A31" s="70" t="s">
        <v>97</v>
      </c>
      <c r="B31" s="70"/>
      <c r="C31" s="70"/>
      <c r="D31" s="70"/>
      <c r="E31" s="70"/>
      <c r="F31" s="70"/>
      <c r="G31" s="70"/>
      <c r="H31" s="70"/>
      <c r="I31" s="70"/>
    </row>
    <row r="32" spans="1:9" ht="15">
      <c r="A32" s="2"/>
      <c r="E32" s="4"/>
      <c r="I32" s="3"/>
    </row>
  </sheetData>
  <sheetProtection/>
  <mergeCells count="4">
    <mergeCell ref="B3:E3"/>
    <mergeCell ref="F3:I3"/>
    <mergeCell ref="A3:A5"/>
    <mergeCell ref="A31:I3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I66" sqref="I66"/>
    </sheetView>
  </sheetViews>
  <sheetFormatPr defaultColWidth="9.140625" defaultRowHeight="15"/>
  <cols>
    <col min="1" max="1" width="32.00390625" style="6" customWidth="1"/>
    <col min="2" max="2" width="12.7109375" style="7" customWidth="1"/>
    <col min="3" max="3" width="12.7109375" style="6" customWidth="1"/>
    <col min="4" max="4" width="12.7109375" style="7" customWidth="1"/>
    <col min="5" max="5" width="12.7109375" style="6" customWidth="1"/>
  </cols>
  <sheetData>
    <row r="1" spans="1:5" ht="15">
      <c r="A1" s="9" t="s">
        <v>105</v>
      </c>
      <c r="B1" s="30"/>
      <c r="C1" s="10"/>
      <c r="D1" s="30"/>
      <c r="E1" s="10"/>
    </row>
    <row r="2" spans="1:5" ht="15.75" thickBot="1">
      <c r="A2" s="9"/>
      <c r="B2" s="30"/>
      <c r="C2" s="10"/>
      <c r="D2" s="30"/>
      <c r="E2" s="10"/>
    </row>
    <row r="3" spans="1:5" ht="15.75" thickBot="1">
      <c r="A3" s="27" t="s">
        <v>21</v>
      </c>
      <c r="B3" s="31" t="s">
        <v>22</v>
      </c>
      <c r="C3" s="28" t="s">
        <v>23</v>
      </c>
      <c r="D3" s="32" t="s">
        <v>24</v>
      </c>
      <c r="E3" s="29" t="s">
        <v>25</v>
      </c>
    </row>
    <row r="4" spans="1:5" s="21" customFormat="1" ht="15">
      <c r="A4" s="36" t="s">
        <v>99</v>
      </c>
      <c r="B4" s="49">
        <v>923750</v>
      </c>
      <c r="C4" s="53">
        <v>100</v>
      </c>
      <c r="D4" s="57">
        <v>6851093</v>
      </c>
      <c r="E4" s="35">
        <v>100</v>
      </c>
    </row>
    <row r="5" spans="1:5" s="21" customFormat="1" ht="15">
      <c r="A5" s="37" t="s">
        <v>26</v>
      </c>
      <c r="B5" s="50">
        <v>899438</v>
      </c>
      <c r="C5" s="54">
        <f>B5/B4*100</f>
        <v>97.36811907983763</v>
      </c>
      <c r="D5" s="58">
        <v>6658705</v>
      </c>
      <c r="E5" s="34">
        <f>D5/D4*100</f>
        <v>97.19186413029279</v>
      </c>
    </row>
    <row r="6" spans="1:5" ht="15">
      <c r="A6" s="38" t="s">
        <v>27</v>
      </c>
      <c r="B6" s="51">
        <v>17406</v>
      </c>
      <c r="C6" s="55">
        <f>B6/B4*100</f>
        <v>1.884276048714479</v>
      </c>
      <c r="D6" s="59">
        <v>99198</v>
      </c>
      <c r="E6" s="55">
        <f>99198/D4*100</f>
        <v>1.447914953132296</v>
      </c>
    </row>
    <row r="7" spans="1:12" ht="15">
      <c r="A7" s="38" t="s">
        <v>28</v>
      </c>
      <c r="B7" s="51">
        <v>7051</v>
      </c>
      <c r="C7" s="55">
        <f>B7/B4*100</f>
        <v>0.7633017591339648</v>
      </c>
      <c r="D7" s="59">
        <v>43667</v>
      </c>
      <c r="E7" s="55">
        <f>43667/D4*100</f>
        <v>0.6373727520557669</v>
      </c>
      <c r="H7" s="9"/>
      <c r="I7" s="30"/>
      <c r="J7" s="10"/>
      <c r="K7" s="30"/>
      <c r="L7" s="10"/>
    </row>
    <row r="8" spans="1:5" ht="15">
      <c r="A8" s="38" t="s">
        <v>29</v>
      </c>
      <c r="B8" s="51">
        <v>4812</v>
      </c>
      <c r="C8" s="55">
        <f>B8/B4*100</f>
        <v>0.5209201623815968</v>
      </c>
      <c r="D8" s="59">
        <v>25919</v>
      </c>
      <c r="E8" s="55">
        <f>25919/D4*100</f>
        <v>0.3783191966595695</v>
      </c>
    </row>
    <row r="9" spans="1:5" ht="15">
      <c r="A9" s="38" t="s">
        <v>30</v>
      </c>
      <c r="B9" s="51">
        <v>3408</v>
      </c>
      <c r="C9" s="55">
        <f>B9/B4*100</f>
        <v>0.36893098782138023</v>
      </c>
      <c r="D9" s="59">
        <v>34785</v>
      </c>
      <c r="E9" s="55">
        <f>34785/D4*100</f>
        <v>0.5077292046685106</v>
      </c>
    </row>
    <row r="10" spans="1:5" ht="15">
      <c r="A10" s="38" t="s">
        <v>31</v>
      </c>
      <c r="B10" s="51">
        <v>165977</v>
      </c>
      <c r="C10" s="55">
        <f>B10/B4*100</f>
        <v>17.9677401894452</v>
      </c>
      <c r="D10" s="59">
        <v>990701</v>
      </c>
      <c r="E10" s="55">
        <f>D10/D4*100</f>
        <v>14.460480977268883</v>
      </c>
    </row>
    <row r="11" spans="1:5" ht="15">
      <c r="A11" s="38" t="s">
        <v>32</v>
      </c>
      <c r="B11" s="51">
        <v>1127</v>
      </c>
      <c r="C11" s="55">
        <f>B11/B4*100</f>
        <v>0.12200270635994587</v>
      </c>
      <c r="D11" s="59">
        <v>7487</v>
      </c>
      <c r="E11" s="55">
        <f>D11/D4*100</f>
        <v>0.10928183284039496</v>
      </c>
    </row>
    <row r="12" spans="1:5" ht="15">
      <c r="A12" s="38" t="s">
        <v>90</v>
      </c>
      <c r="B12" s="51">
        <v>3924</v>
      </c>
      <c r="C12" s="55">
        <f>B12/B4*100</f>
        <v>0.4247902571041949</v>
      </c>
      <c r="D12" s="59">
        <v>25929</v>
      </c>
      <c r="E12" s="55">
        <f>25929/D4*100</f>
        <v>0.3784651587710165</v>
      </c>
    </row>
    <row r="13" spans="1:5" ht="15">
      <c r="A13" s="38" t="s">
        <v>33</v>
      </c>
      <c r="B13" s="51">
        <v>1218</v>
      </c>
      <c r="C13" s="55">
        <f>B13/B4*100</f>
        <v>0.13185385656292287</v>
      </c>
      <c r="D13" s="59">
        <v>9505</v>
      </c>
      <c r="E13" s="55">
        <f>D13/D4*100</f>
        <v>0.1387369869304066</v>
      </c>
    </row>
    <row r="14" spans="1:5" ht="15">
      <c r="A14" s="38" t="s">
        <v>34</v>
      </c>
      <c r="B14" s="51">
        <v>1680</v>
      </c>
      <c r="C14" s="55">
        <f>B14/B4*100</f>
        <v>0.18186738836265223</v>
      </c>
      <c r="D14" s="59">
        <v>11529</v>
      </c>
      <c r="E14" s="55">
        <f>D14/D4*100</f>
        <v>0.1682797182872864</v>
      </c>
    </row>
    <row r="15" spans="1:5" ht="15">
      <c r="A15" s="38" t="s">
        <v>35</v>
      </c>
      <c r="B15" s="51">
        <v>584</v>
      </c>
      <c r="C15" s="55">
        <f>B15/B4*100</f>
        <v>0.06322056833558863</v>
      </c>
      <c r="D15" s="59">
        <v>3874</v>
      </c>
      <c r="E15" s="55">
        <f>3874/D4*100</f>
        <v>0.056545721974581284</v>
      </c>
    </row>
    <row r="16" spans="1:5" ht="15">
      <c r="A16" s="38" t="s">
        <v>36</v>
      </c>
      <c r="B16" s="51">
        <v>12894</v>
      </c>
      <c r="C16" s="55">
        <f>B16/B4*100</f>
        <v>1.3958322056833559</v>
      </c>
      <c r="D16" s="59">
        <v>62316</v>
      </c>
      <c r="E16" s="55">
        <f>62316/D4*100</f>
        <v>0.9095774936933421</v>
      </c>
    </row>
    <row r="17" spans="1:5" ht="15">
      <c r="A17" s="38" t="s">
        <v>37</v>
      </c>
      <c r="B17" s="51">
        <v>457</v>
      </c>
      <c r="C17" s="55">
        <f>B17/B4*100</f>
        <v>0.0494722598105548</v>
      </c>
      <c r="D17" s="59">
        <v>3153</v>
      </c>
      <c r="E17" s="55">
        <f>3153/D4*100</f>
        <v>0.04602185373925007</v>
      </c>
    </row>
    <row r="18" spans="1:5" ht="15">
      <c r="A18" s="38" t="s">
        <v>38</v>
      </c>
      <c r="B18" s="51">
        <v>4569</v>
      </c>
      <c r="C18" s="55">
        <f>B18/B4*100</f>
        <v>0.4946143437077132</v>
      </c>
      <c r="D18" s="59">
        <v>28202</v>
      </c>
      <c r="E18" s="55">
        <f>D18/D4*100</f>
        <v>0.41164234670292754</v>
      </c>
    </row>
    <row r="19" spans="1:5" ht="15">
      <c r="A19" s="38" t="s">
        <v>39</v>
      </c>
      <c r="B19" s="51">
        <v>8254</v>
      </c>
      <c r="C19" s="55">
        <f>B19/B4*100</f>
        <v>0.893531799729364</v>
      </c>
      <c r="D19" s="59">
        <v>61941</v>
      </c>
      <c r="E19" s="55">
        <f>61941/D4*100</f>
        <v>0.9041039145140782</v>
      </c>
    </row>
    <row r="20" spans="1:5" ht="15">
      <c r="A20" s="38" t="s">
        <v>40</v>
      </c>
      <c r="B20" s="51">
        <v>636</v>
      </c>
      <c r="C20" s="55">
        <f>B20/B4*100</f>
        <v>0.06884979702300406</v>
      </c>
      <c r="D20" s="59">
        <v>6892</v>
      </c>
      <c r="E20" s="55">
        <f>6892/D4*100</f>
        <v>0.10059708720929639</v>
      </c>
    </row>
    <row r="21" spans="1:5" ht="15">
      <c r="A21" s="38" t="s">
        <v>68</v>
      </c>
      <c r="B21" s="51">
        <v>106</v>
      </c>
      <c r="C21" s="55">
        <f>B21/B4*100</f>
        <v>0.011474966170500677</v>
      </c>
      <c r="D21" s="59">
        <v>1435</v>
      </c>
      <c r="E21" s="55">
        <f>1435/D4*100</f>
        <v>0.020945562992649495</v>
      </c>
    </row>
    <row r="22" spans="1:5" ht="15">
      <c r="A22" s="38" t="s">
        <v>41</v>
      </c>
      <c r="B22" s="51">
        <v>3176</v>
      </c>
      <c r="C22" s="55">
        <f>B22/B4*100</f>
        <v>0.34381596752368065</v>
      </c>
      <c r="D22" s="59">
        <v>22753</v>
      </c>
      <c r="E22" s="55">
        <f>D22/D4*100</f>
        <v>0.3321075921754383</v>
      </c>
    </row>
    <row r="23" spans="1:5" ht="15">
      <c r="A23" s="38" t="s">
        <v>70</v>
      </c>
      <c r="B23" s="51">
        <v>105</v>
      </c>
      <c r="C23" s="55">
        <f>B23/B4*100</f>
        <v>0.011366711772665765</v>
      </c>
      <c r="D23" s="59">
        <v>1136</v>
      </c>
      <c r="E23" s="55">
        <f>1136/D4*100</f>
        <v>0.016581295860383153</v>
      </c>
    </row>
    <row r="24" spans="1:5" ht="15">
      <c r="A24" s="38" t="s">
        <v>42</v>
      </c>
      <c r="B24" s="51">
        <v>68511</v>
      </c>
      <c r="C24" s="55">
        <f>B24/B4*100</f>
        <v>7.416617050067659</v>
      </c>
      <c r="D24" s="59">
        <v>330077</v>
      </c>
      <c r="E24" s="55">
        <f>330077/D4*100</f>
        <v>4.817873586010291</v>
      </c>
    </row>
    <row r="25" spans="1:5" ht="15">
      <c r="A25" s="38" t="s">
        <v>43</v>
      </c>
      <c r="B25" s="51">
        <v>1347</v>
      </c>
      <c r="C25" s="55">
        <f>B25/B4*100</f>
        <v>0.14581867388362652</v>
      </c>
      <c r="D25" s="59">
        <v>10687</v>
      </c>
      <c r="E25" s="55">
        <f>10687/D4*100</f>
        <v>0.1559897085034461</v>
      </c>
    </row>
    <row r="26" spans="1:5" ht="15">
      <c r="A26" s="38" t="s">
        <v>44</v>
      </c>
      <c r="B26" s="51">
        <v>1906</v>
      </c>
      <c r="C26" s="55">
        <f>B26/B4*100</f>
        <v>0.20633288227334237</v>
      </c>
      <c r="D26" s="59">
        <v>12251</v>
      </c>
      <c r="E26" s="55">
        <f>12251/D4*100</f>
        <v>0.17881818273376232</v>
      </c>
    </row>
    <row r="27" spans="1:5" ht="15">
      <c r="A27" s="38" t="s">
        <v>45</v>
      </c>
      <c r="B27" s="51">
        <v>1055</v>
      </c>
      <c r="C27" s="55">
        <f>B27/B4*100</f>
        <v>0.11420838971583222</v>
      </c>
      <c r="D27" s="59">
        <v>7110</v>
      </c>
      <c r="E27" s="55">
        <f>7110/D4*100</f>
        <v>0.10377906123884173</v>
      </c>
    </row>
    <row r="28" spans="1:5" ht="15">
      <c r="A28" s="38" t="s">
        <v>46</v>
      </c>
      <c r="B28" s="51">
        <v>14255</v>
      </c>
      <c r="C28" s="55">
        <f>B28/B4*100</f>
        <v>1.543166441136671</v>
      </c>
      <c r="D28" s="59">
        <v>77745</v>
      </c>
      <c r="E28" s="55">
        <f>77745/D4*100</f>
        <v>1.134782435444972</v>
      </c>
    </row>
    <row r="29" spans="1:5" ht="15">
      <c r="A29" s="38" t="s">
        <v>71</v>
      </c>
      <c r="B29" s="51">
        <v>57</v>
      </c>
      <c r="C29" s="55">
        <f>B29/B4*100</f>
        <v>0.006170500676589986</v>
      </c>
      <c r="D29" s="59">
        <v>482</v>
      </c>
      <c r="E29" s="55">
        <f>482/D4*100</f>
        <v>0.007035373771747078</v>
      </c>
    </row>
    <row r="30" spans="1:5" ht="15">
      <c r="A30" s="38" t="s">
        <v>91</v>
      </c>
      <c r="B30" s="51">
        <v>19486</v>
      </c>
      <c r="C30" s="55">
        <f>B30/B4*100</f>
        <v>2.1094451962110963</v>
      </c>
      <c r="D30" s="59">
        <v>125588</v>
      </c>
      <c r="E30" s="55">
        <f>125588/D4*100</f>
        <v>1.8331089652410208</v>
      </c>
    </row>
    <row r="31" spans="1:5" ht="15">
      <c r="A31" s="38" t="s">
        <v>47</v>
      </c>
      <c r="B31" s="51">
        <v>1232</v>
      </c>
      <c r="C31" s="55">
        <f>B31/B4*100</f>
        <v>0.13336941813261163</v>
      </c>
      <c r="D31" s="59">
        <v>10285</v>
      </c>
      <c r="E31" s="55">
        <f>10285/D4*100</f>
        <v>0.1501220316232753</v>
      </c>
    </row>
    <row r="32" spans="1:5" ht="15">
      <c r="A32" s="38" t="s">
        <v>48</v>
      </c>
      <c r="B32" s="51">
        <v>41176</v>
      </c>
      <c r="C32" s="55">
        <f>B32/B4*100</f>
        <v>4.457483085250338</v>
      </c>
      <c r="D32" s="59">
        <v>256296</v>
      </c>
      <c r="E32" s="55">
        <f>256296/D4*100</f>
        <v>3.7409505315429232</v>
      </c>
    </row>
    <row r="33" spans="1:5" ht="15">
      <c r="A33" s="38" t="s">
        <v>49</v>
      </c>
      <c r="B33" s="51">
        <v>23365</v>
      </c>
      <c r="C33" s="55">
        <f>B33/B4*100</f>
        <v>2.5293640054127198</v>
      </c>
      <c r="D33" s="59">
        <v>133670</v>
      </c>
      <c r="E33" s="55">
        <f>133670/D4*100</f>
        <v>1.9510755437125142</v>
      </c>
    </row>
    <row r="34" spans="1:5" ht="15">
      <c r="A34" s="38" t="s">
        <v>50</v>
      </c>
      <c r="B34" s="51">
        <v>357</v>
      </c>
      <c r="C34" s="55">
        <f>B34/B4*100</f>
        <v>0.0386468200270636</v>
      </c>
      <c r="D34" s="59">
        <v>2228</v>
      </c>
      <c r="E34" s="55">
        <f>2228/D4*100</f>
        <v>0.032520358430399354</v>
      </c>
    </row>
    <row r="35" spans="1:5" ht="15">
      <c r="A35" s="38" t="s">
        <v>51</v>
      </c>
      <c r="B35" s="51">
        <v>7449</v>
      </c>
      <c r="C35" s="55">
        <f>B35/B4*100</f>
        <v>0.8063870094722598</v>
      </c>
      <c r="D35" s="59">
        <v>39875</v>
      </c>
      <c r="E35" s="55">
        <f>39875/D4*100</f>
        <v>0.5820239193950513</v>
      </c>
    </row>
    <row r="36" spans="1:5" ht="15">
      <c r="A36" s="38" t="s">
        <v>100</v>
      </c>
      <c r="B36" s="51">
        <v>76476</v>
      </c>
      <c r="C36" s="55">
        <f>B36/B4*100</f>
        <v>8.278863328822734</v>
      </c>
      <c r="D36" s="59">
        <v>1001220</v>
      </c>
      <c r="E36" s="55">
        <f>D36/D4*100</f>
        <v>14.614018522300018</v>
      </c>
    </row>
    <row r="37" spans="1:5" ht="15">
      <c r="A37" s="38" t="s">
        <v>52</v>
      </c>
      <c r="B37" s="51">
        <v>1557</v>
      </c>
      <c r="C37" s="55">
        <f>B37/B4*100</f>
        <v>0.16855209742895805</v>
      </c>
      <c r="D37" s="59">
        <v>10791</v>
      </c>
      <c r="E37" s="55">
        <f>10791/D4*100</f>
        <v>0.15750771446249526</v>
      </c>
    </row>
    <row r="38" spans="1:5" ht="15">
      <c r="A38" s="38" t="s">
        <v>53</v>
      </c>
      <c r="B38" s="51">
        <v>4815</v>
      </c>
      <c r="C38" s="55">
        <f>B38/B4*100</f>
        <v>0.5212449255751015</v>
      </c>
      <c r="D38" s="59">
        <v>33102</v>
      </c>
      <c r="E38" s="55">
        <f>33102/D4*100</f>
        <v>0.48316378131197457</v>
      </c>
    </row>
    <row r="39" spans="1:5" ht="15">
      <c r="A39" s="38" t="s">
        <v>92</v>
      </c>
      <c r="B39" s="51">
        <v>283650</v>
      </c>
      <c r="C39" s="55">
        <f>B39/B4*100</f>
        <v>30.7063599458728</v>
      </c>
      <c r="D39" s="59">
        <v>2342975</v>
      </c>
      <c r="E39" s="55">
        <f>D39/D4*100</f>
        <v>34.198557806761634</v>
      </c>
    </row>
    <row r="40" spans="1:5" ht="15">
      <c r="A40" s="38" t="s">
        <v>55</v>
      </c>
      <c r="B40" s="51">
        <v>1649</v>
      </c>
      <c r="C40" s="55">
        <f>B40/B4*100</f>
        <v>0.17851150202976995</v>
      </c>
      <c r="D40" s="59">
        <v>7879</v>
      </c>
      <c r="E40" s="55">
        <f>7879/D4*100</f>
        <v>0.11500354760911873</v>
      </c>
    </row>
    <row r="41" spans="1:5" ht="15">
      <c r="A41" s="38" t="s">
        <v>93</v>
      </c>
      <c r="B41" s="51">
        <v>8895</v>
      </c>
      <c r="C41" s="55">
        <f>B41/B4*100</f>
        <v>0.9629228687415426</v>
      </c>
      <c r="D41" s="59">
        <v>46494</v>
      </c>
      <c r="E41" s="55">
        <f>D41/D4*100</f>
        <v>0.6786362409618436</v>
      </c>
    </row>
    <row r="42" spans="1:5" ht="15">
      <c r="A42" s="38" t="s">
        <v>54</v>
      </c>
      <c r="B42" s="51">
        <v>5026</v>
      </c>
      <c r="C42" s="55">
        <f>B42/B4*100</f>
        <v>0.544086603518268</v>
      </c>
      <c r="D42" s="59">
        <v>40638</v>
      </c>
      <c r="E42" s="55">
        <f>40638/D4*100</f>
        <v>0.5931608284984601</v>
      </c>
    </row>
    <row r="43" spans="1:5" ht="15">
      <c r="A43" s="38" t="s">
        <v>56</v>
      </c>
      <c r="B43" s="51">
        <v>10444</v>
      </c>
      <c r="C43" s="55">
        <f>B43/B4*100</f>
        <v>1.1306089309878213</v>
      </c>
      <c r="D43" s="59">
        <v>70468</v>
      </c>
      <c r="E43" s="55">
        <f>70468/D4*100</f>
        <v>1.0285658069449648</v>
      </c>
    </row>
    <row r="44" spans="1:5" ht="15">
      <c r="A44" s="38" t="s">
        <v>57</v>
      </c>
      <c r="B44" s="51">
        <v>78379</v>
      </c>
      <c r="C44" s="55">
        <f>B44/B4*100</f>
        <v>8.484871447902572</v>
      </c>
      <c r="D44" s="59">
        <v>558498</v>
      </c>
      <c r="E44" s="55">
        <f>558498/D4*100</f>
        <v>8.151954731894605</v>
      </c>
    </row>
    <row r="45" spans="1:5" ht="15">
      <c r="A45" s="38" t="s">
        <v>72</v>
      </c>
      <c r="B45" s="51">
        <v>6354</v>
      </c>
      <c r="C45" s="55">
        <f>B45/B4*100</f>
        <v>0.6878484438430311</v>
      </c>
      <c r="D45" s="59">
        <v>72122</v>
      </c>
      <c r="E45" s="55">
        <f>72122/D4*100</f>
        <v>1.0527079401783044</v>
      </c>
    </row>
    <row r="46" spans="1:5" ht="15">
      <c r="A46" s="38" t="s">
        <v>58</v>
      </c>
      <c r="B46" s="51">
        <v>4613</v>
      </c>
      <c r="C46" s="55">
        <f>B46/B4*100</f>
        <v>0.49937753721244926</v>
      </c>
      <c r="D46" s="59">
        <v>27802</v>
      </c>
      <c r="E46" s="55">
        <f>27802/D4*100</f>
        <v>0.40580386224504617</v>
      </c>
    </row>
    <row r="47" spans="1:5" s="21" customFormat="1" ht="15">
      <c r="A47" s="37" t="s">
        <v>59</v>
      </c>
      <c r="B47" s="50">
        <v>24312</v>
      </c>
      <c r="C47" s="54">
        <f>B47/923750*100</f>
        <v>2.6318809201623816</v>
      </c>
      <c r="D47" s="58">
        <v>192388</v>
      </c>
      <c r="E47" s="54">
        <f>D47/D4*100</f>
        <v>2.808135869707213</v>
      </c>
    </row>
    <row r="48" spans="1:5" ht="15">
      <c r="A48" s="38" t="s">
        <v>101</v>
      </c>
      <c r="B48" s="51">
        <v>742</v>
      </c>
      <c r="C48" s="55">
        <f>742/923750*100</f>
        <v>0.08032476319350473</v>
      </c>
      <c r="D48" s="59">
        <v>11911</v>
      </c>
      <c r="E48" s="55">
        <f>D48/D4*100</f>
        <v>0.17385547094456316</v>
      </c>
    </row>
    <row r="49" spans="1:5" ht="15">
      <c r="A49" s="38" t="s">
        <v>73</v>
      </c>
      <c r="B49" s="51">
        <v>564</v>
      </c>
      <c r="C49" s="55">
        <f>564/923750*100</f>
        <v>0.061055480378890394</v>
      </c>
      <c r="D49" s="59">
        <v>4973</v>
      </c>
      <c r="E49" s="55">
        <f>4973/D4*100</f>
        <v>0.0725869580226104</v>
      </c>
    </row>
    <row r="50" spans="1:5" ht="15">
      <c r="A50" s="38" t="s">
        <v>63</v>
      </c>
      <c r="B50" s="51">
        <v>1819</v>
      </c>
      <c r="C50" s="55">
        <f>1819/923750*100</f>
        <v>0.196914749661705</v>
      </c>
      <c r="D50" s="59">
        <v>17982</v>
      </c>
      <c r="E50" s="55">
        <f>17982/D4*100</f>
        <v>0.26246906880405796</v>
      </c>
    </row>
    <row r="51" spans="1:5" ht="15">
      <c r="A51" s="38" t="s">
        <v>65</v>
      </c>
      <c r="B51" s="51">
        <v>7222</v>
      </c>
      <c r="C51" s="55">
        <f>7222/923750*100</f>
        <v>0.7818132611637348</v>
      </c>
      <c r="D51" s="59">
        <v>58821</v>
      </c>
      <c r="E51" s="55">
        <f>58821/D4*100</f>
        <v>0.8585637357426034</v>
      </c>
    </row>
    <row r="52" spans="1:5" ht="15">
      <c r="A52" s="38" t="s">
        <v>74</v>
      </c>
      <c r="B52" s="51">
        <v>132</v>
      </c>
      <c r="C52" s="55">
        <f>B52/923750*100</f>
        <v>0.014289580514208389</v>
      </c>
      <c r="D52" s="59">
        <v>1256</v>
      </c>
      <c r="E52" s="55">
        <f>1256/D4*100</f>
        <v>0.01833284119774757</v>
      </c>
    </row>
    <row r="53" spans="1:5" ht="15">
      <c r="A53" s="38" t="s">
        <v>75</v>
      </c>
      <c r="B53" s="51">
        <v>216</v>
      </c>
      <c r="C53" s="55">
        <f>216/923750*100</f>
        <v>0.023382949932341003</v>
      </c>
      <c r="D53" s="59">
        <v>1919</v>
      </c>
      <c r="E53" s="55">
        <f>1919/D4*100</f>
        <v>0.028010129186685977</v>
      </c>
    </row>
    <row r="54" spans="1:5" ht="15">
      <c r="A54" s="38" t="s">
        <v>76</v>
      </c>
      <c r="B54" s="51">
        <v>485</v>
      </c>
      <c r="C54" s="55">
        <f>485/923750*100</f>
        <v>0.05250338294993234</v>
      </c>
      <c r="D54" s="59">
        <v>3044</v>
      </c>
      <c r="E54" s="55">
        <f>3044/D4*100</f>
        <v>0.044430866724477394</v>
      </c>
    </row>
    <row r="55" spans="1:5" ht="15">
      <c r="A55" s="38" t="s">
        <v>77</v>
      </c>
      <c r="B55" s="51">
        <v>126</v>
      </c>
      <c r="C55" s="55">
        <f>126/923750*100</f>
        <v>0.013640054127198918</v>
      </c>
      <c r="D55" s="59">
        <v>889</v>
      </c>
      <c r="E55" s="55">
        <f>889/D4*100</f>
        <v>0.012976031707641392</v>
      </c>
    </row>
    <row r="56" spans="1:5" ht="15">
      <c r="A56" s="38" t="s">
        <v>78</v>
      </c>
      <c r="B56" s="51">
        <v>587</v>
      </c>
      <c r="C56" s="55">
        <f>587/923750*100</f>
        <v>0.06354533152909336</v>
      </c>
      <c r="D56" s="59">
        <v>6357</v>
      </c>
      <c r="E56" s="55">
        <f>6357/D4*100</f>
        <v>0.09278811424688002</v>
      </c>
    </row>
    <row r="57" spans="1:5" ht="15">
      <c r="A57" s="38" t="s">
        <v>79</v>
      </c>
      <c r="B57" s="51">
        <v>449</v>
      </c>
      <c r="C57" s="55">
        <f>449/923750*100</f>
        <v>0.04860622462787551</v>
      </c>
      <c r="D57" s="59">
        <v>2732</v>
      </c>
      <c r="E57" s="55">
        <f>2732/D4*100</f>
        <v>0.03987684884732991</v>
      </c>
    </row>
    <row r="58" spans="1:5" ht="15">
      <c r="A58" s="38" t="s">
        <v>62</v>
      </c>
      <c r="B58" s="51">
        <v>78</v>
      </c>
      <c r="C58" s="55">
        <f>78/923750*100</f>
        <v>0.00844384303112314</v>
      </c>
      <c r="D58" s="59">
        <v>731</v>
      </c>
      <c r="E58" s="55">
        <f>731/D4*100</f>
        <v>0.010669830346778243</v>
      </c>
    </row>
    <row r="59" spans="1:5" ht="15">
      <c r="A59" s="38" t="s">
        <v>94</v>
      </c>
      <c r="B59" s="51">
        <v>69</v>
      </c>
      <c r="C59" s="55">
        <f>B59/923750*100</f>
        <v>0.007469553450608931</v>
      </c>
      <c r="D59" s="59">
        <v>214</v>
      </c>
      <c r="E59" s="55">
        <f>214/D4*100</f>
        <v>0.003123589184966545</v>
      </c>
    </row>
    <row r="60" spans="1:5" ht="15">
      <c r="A60" s="38" t="s">
        <v>61</v>
      </c>
      <c r="B60" s="51">
        <v>3128</v>
      </c>
      <c r="C60" s="55">
        <f>3128/923750*100</f>
        <v>0.3386197564276049</v>
      </c>
      <c r="D60" s="59">
        <v>15708</v>
      </c>
      <c r="E60" s="55">
        <f>15708/D4*100</f>
        <v>0.22927728466100228</v>
      </c>
    </row>
    <row r="61" spans="1:5" ht="15">
      <c r="A61" s="38" t="s">
        <v>80</v>
      </c>
      <c r="B61" s="51">
        <v>641</v>
      </c>
      <c r="C61" s="55">
        <f>641/923750*100</f>
        <v>0.06939106901217862</v>
      </c>
      <c r="D61" s="59">
        <v>2966</v>
      </c>
      <c r="E61" s="55">
        <f>2966/D4*100</f>
        <v>0.04329236225519052</v>
      </c>
    </row>
    <row r="62" spans="1:5" ht="15">
      <c r="A62" s="38" t="s">
        <v>81</v>
      </c>
      <c r="B62" s="51">
        <v>471</v>
      </c>
      <c r="C62" s="55">
        <f>471/923750*100</f>
        <v>0.05098782138024357</v>
      </c>
      <c r="D62" s="59">
        <v>3543</v>
      </c>
      <c r="E62" s="55">
        <f>3543/D4*100</f>
        <v>0.05171437608568443</v>
      </c>
    </row>
    <row r="63" spans="1:5" ht="15">
      <c r="A63" s="38" t="s">
        <v>102</v>
      </c>
      <c r="B63" s="51">
        <v>72</v>
      </c>
      <c r="C63" s="55">
        <f>72/923750*100</f>
        <v>0.007794316644113667</v>
      </c>
      <c r="D63" s="59">
        <v>145</v>
      </c>
      <c r="E63" s="55">
        <f>145/D4*100</f>
        <v>0.0021164506159820047</v>
      </c>
    </row>
    <row r="64" spans="1:5" ht="15">
      <c r="A64" s="38" t="s">
        <v>82</v>
      </c>
      <c r="B64" s="51">
        <v>6193</v>
      </c>
      <c r="C64" s="55">
        <f>6193/923750*100</f>
        <v>0.6704194857916103</v>
      </c>
      <c r="D64" s="59">
        <v>45112</v>
      </c>
      <c r="E64" s="55">
        <f>45112/D4*100</f>
        <v>0.6584642771598634</v>
      </c>
    </row>
    <row r="65" spans="1:5" ht="15">
      <c r="A65" s="38" t="s">
        <v>60</v>
      </c>
      <c r="B65" s="51">
        <v>641</v>
      </c>
      <c r="C65" s="55">
        <f>641/923750*100</f>
        <v>0.06939106901217862</v>
      </c>
      <c r="D65" s="59">
        <v>6722</v>
      </c>
      <c r="E65" s="55">
        <f>6722/D4*100</f>
        <v>0.09811573131469678</v>
      </c>
    </row>
    <row r="66" spans="1:5" ht="15">
      <c r="A66" s="38" t="s">
        <v>64</v>
      </c>
      <c r="B66" s="51">
        <v>294</v>
      </c>
      <c r="C66" s="55">
        <f>294/923750*100</f>
        <v>0.03182679296346414</v>
      </c>
      <c r="D66" s="59">
        <v>3932</v>
      </c>
      <c r="E66" s="55">
        <f>3932/D4*100</f>
        <v>0.057392302220974085</v>
      </c>
    </row>
    <row r="67" spans="1:5" ht="15.75" thickBot="1">
      <c r="A67" s="39" t="s">
        <v>83</v>
      </c>
      <c r="B67" s="52">
        <v>383</v>
      </c>
      <c r="C67" s="56">
        <f>383/923750*100</f>
        <v>0.04146143437077131</v>
      </c>
      <c r="D67" s="60">
        <v>3431</v>
      </c>
      <c r="E67" s="56">
        <f>D67/D4*100</f>
        <v>0.050079600437477646</v>
      </c>
    </row>
    <row r="68" spans="3:5" ht="15">
      <c r="C68" s="8"/>
      <c r="E68" s="8"/>
    </row>
    <row r="69" ht="15">
      <c r="A69" s="3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prelevic</dc:creator>
  <cp:keywords/>
  <dc:description/>
  <cp:lastModifiedBy>Zeljko Zivkovic</cp:lastModifiedBy>
  <dcterms:created xsi:type="dcterms:W3CDTF">2012-03-13T12:13:30Z</dcterms:created>
  <dcterms:modified xsi:type="dcterms:W3CDTF">2022-03-25T12:30:40Z</dcterms:modified>
  <cp:category/>
  <cp:version/>
  <cp:contentType/>
  <cp:contentStatus/>
</cp:coreProperties>
</file>